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álculo dimensiones" sheetId="1" r:id="rId1"/>
    <sheet name="Cálculo coordenadas" sheetId="2" r:id="rId2"/>
  </sheets>
  <definedNames/>
  <calcPr fullCalcOnLoad="1"/>
</workbook>
</file>

<file path=xl/comments2.xml><?xml version="1.0" encoding="utf-8"?>
<comments xmlns="http://schemas.openxmlformats.org/spreadsheetml/2006/main">
  <authors>
    <author>JM</author>
  </authors>
  <commentList>
    <comment ref="G17" authorId="0">
      <text>
        <r>
          <rPr>
            <b/>
            <sz val="8"/>
            <rFont val="Tahoma"/>
            <family val="0"/>
          </rPr>
          <t>JM:</t>
        </r>
        <r>
          <rPr>
            <sz val="8"/>
            <rFont val="Tahoma"/>
            <family val="0"/>
          </rPr>
          <t xml:space="preserve">
Estas coordenadas se miden desde el cruce Ecuador/Greenwich, pero a la escala correspondiente al elipsoide de semiejemayor Ncos(lat-ref)</t>
        </r>
      </text>
    </comment>
    <comment ref="G24" authorId="0">
      <text>
        <r>
          <rPr>
            <b/>
            <sz val="8"/>
            <rFont val="Tahoma"/>
            <family val="0"/>
          </rPr>
          <t>JM:</t>
        </r>
        <r>
          <rPr>
            <sz val="8"/>
            <rFont val="Tahoma"/>
            <family val="0"/>
          </rPr>
          <t xml:space="preserve">
Estas coordenadas se miden desde el cruce Ecuador/Greenwich a la escala correspondiente al elipsoide de semiejemayor a.</t>
        </r>
      </text>
    </comment>
  </commentList>
</comments>
</file>

<file path=xl/sharedStrings.xml><?xml version="1.0" encoding="utf-8"?>
<sst xmlns="http://schemas.openxmlformats.org/spreadsheetml/2006/main" count="70" uniqueCount="52">
  <si>
    <t>Wa</t>
  </si>
  <si>
    <t>a</t>
  </si>
  <si>
    <t>e2</t>
  </si>
  <si>
    <t>1-e2</t>
  </si>
  <si>
    <t>Na</t>
  </si>
  <si>
    <t>f</t>
  </si>
  <si>
    <t>N</t>
  </si>
  <si>
    <t>Marco W</t>
  </si>
  <si>
    <t>Marco S</t>
  </si>
  <si>
    <t>Marco N</t>
  </si>
  <si>
    <t>Marco E</t>
  </si>
  <si>
    <t>Minutos</t>
  </si>
  <si>
    <t>Segundos</t>
  </si>
  <si>
    <t>Grados</t>
  </si>
  <si>
    <t>Paralelo ref.</t>
  </si>
  <si>
    <t>Escala (1: _ )</t>
  </si>
  <si>
    <t>e</t>
  </si>
  <si>
    <t>rm</t>
  </si>
  <si>
    <t>mm</t>
  </si>
  <si>
    <r>
      <t xml:space="preserve">F </t>
    </r>
    <r>
      <rPr>
        <sz val="10"/>
        <rFont val="Times New Roman"/>
        <family val="1"/>
      </rPr>
      <t xml:space="preserve">(rad) </t>
    </r>
    <r>
      <rPr>
        <sz val="10"/>
        <rFont val="Symbol"/>
        <family val="1"/>
      </rPr>
      <t>N</t>
    </r>
  </si>
  <si>
    <r>
      <t xml:space="preserve">F </t>
    </r>
    <r>
      <rPr>
        <sz val="10"/>
        <rFont val="Times New Roman"/>
        <family val="1"/>
      </rPr>
      <t xml:space="preserve">(rad) </t>
    </r>
    <r>
      <rPr>
        <sz val="10"/>
        <rFont val="Times New Roman"/>
        <family val="1"/>
      </rPr>
      <t>S</t>
    </r>
  </si>
  <si>
    <r>
      <t xml:space="preserve">DF </t>
    </r>
    <r>
      <rPr>
        <sz val="10"/>
        <rFont val="Times New Roman"/>
        <family val="1"/>
      </rPr>
      <t>(rad)</t>
    </r>
  </si>
  <si>
    <r>
      <t>D</t>
    </r>
    <r>
      <rPr>
        <sz val="10"/>
        <rFont val="Times New Roman"/>
        <family val="1"/>
      </rPr>
      <t>L (rad)</t>
    </r>
  </si>
  <si>
    <t>Latitud</t>
  </si>
  <si>
    <t>Longitud</t>
  </si>
  <si>
    <r>
      <t xml:space="preserve">F </t>
    </r>
    <r>
      <rPr>
        <sz val="10"/>
        <rFont val="Times New Roman"/>
        <family val="1"/>
      </rPr>
      <t xml:space="preserve">(rad) </t>
    </r>
  </si>
  <si>
    <t>L  (rad)</t>
  </si>
  <si>
    <r>
      <t>L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 xml:space="preserve">(rad) </t>
    </r>
    <r>
      <rPr>
        <sz val="10"/>
        <rFont val="Symbol"/>
        <family val="1"/>
      </rPr>
      <t>E</t>
    </r>
  </si>
  <si>
    <r>
      <t>L</t>
    </r>
    <r>
      <rPr>
        <sz val="10"/>
        <rFont val="Symbol"/>
        <family val="1"/>
      </rPr>
      <t xml:space="preserve"> </t>
    </r>
    <r>
      <rPr>
        <sz val="10"/>
        <rFont val="Times New Roman"/>
        <family val="1"/>
      </rPr>
      <t>(rad) W</t>
    </r>
  </si>
  <si>
    <t>CÁLCULO DE COORDENADAS</t>
  </si>
  <si>
    <r>
      <t>D</t>
    </r>
    <r>
      <rPr>
        <b/>
        <sz val="10"/>
        <color indexed="10"/>
        <rFont val="Times New Roman"/>
        <family val="1"/>
      </rPr>
      <t>x =</t>
    </r>
  </si>
  <si>
    <r>
      <t>D</t>
    </r>
    <r>
      <rPr>
        <b/>
        <sz val="10"/>
        <color indexed="10"/>
        <rFont val="Times New Roman"/>
        <family val="1"/>
      </rPr>
      <t>y =</t>
    </r>
  </si>
  <si>
    <t>x =</t>
  </si>
  <si>
    <t>y =</t>
  </si>
  <si>
    <t>CÁLCULO DE LAS DIMENSIONES</t>
  </si>
  <si>
    <t>W</t>
  </si>
  <si>
    <t>Coordenadas esqueleto con origen en su esquina SW</t>
  </si>
  <si>
    <t>Coordenadas absolutas con origen en la intersección Ecuador/Greenwich</t>
  </si>
  <si>
    <t>m</t>
  </si>
  <si>
    <t>X =</t>
  </si>
  <si>
    <t>Y =</t>
  </si>
  <si>
    <t>iu =</t>
  </si>
  <si>
    <r>
      <t xml:space="preserve">F </t>
    </r>
    <r>
      <rPr>
        <sz val="10"/>
        <rFont val="Times New Roman"/>
        <family val="1"/>
      </rPr>
      <t xml:space="preserve">(grados) </t>
    </r>
  </si>
  <si>
    <t>teniendo en cuenta el paralelo de referencia</t>
  </si>
  <si>
    <r>
      <t>F</t>
    </r>
    <r>
      <rPr>
        <sz val="10"/>
        <rFont val="Arial"/>
        <family val="0"/>
      </rPr>
      <t>´S</t>
    </r>
  </si>
  <si>
    <r>
      <t>F</t>
    </r>
    <r>
      <rPr>
        <sz val="10"/>
        <rFont val="Arial"/>
        <family val="0"/>
      </rPr>
      <t>´N</t>
    </r>
  </si>
  <si>
    <t>L´E</t>
  </si>
  <si>
    <t>L´W</t>
  </si>
  <si>
    <t>Elipsoide</t>
  </si>
  <si>
    <t>WGS84</t>
  </si>
  <si>
    <t>ED50</t>
  </si>
  <si>
    <t>con ecuador automecoico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</si>
</sst>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"/>
    <numFmt numFmtId="181" formatCode="0.0000000000"/>
    <numFmt numFmtId="182" formatCode="0.000"/>
    <numFmt numFmtId="183" formatCode="0.0"/>
    <numFmt numFmtId="184" formatCode="0.00000000000"/>
    <numFmt numFmtId="185" formatCode="0.000000000"/>
    <numFmt numFmtId="186" formatCode="0.0000"/>
    <numFmt numFmtId="187" formatCode="0.000000000000000"/>
    <numFmt numFmtId="188" formatCode="0.00000"/>
    <numFmt numFmtId="189" formatCode="0.000000000000"/>
  </numFmts>
  <fonts count="19">
    <font>
      <sz val="10"/>
      <name val="Arial"/>
      <family val="0"/>
    </font>
    <font>
      <sz val="10"/>
      <name val="GreekS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7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b/>
      <sz val="10"/>
      <color indexed="10"/>
      <name val="Symbol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80" fontId="4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180" fontId="5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Alignment="1">
      <alignment horizontal="center"/>
    </xf>
    <xf numFmtId="180" fontId="6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0" fontId="5" fillId="0" borderId="0" xfId="0" applyNumberFormat="1" applyFont="1" applyAlignment="1" applyProtection="1">
      <alignment/>
      <protection hidden="1" locked="0"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80" fontId="9" fillId="0" borderId="0" xfId="0" applyNumberFormat="1" applyFont="1" applyAlignment="1">
      <alignment/>
    </xf>
    <xf numFmtId="180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180" fontId="10" fillId="0" borderId="0" xfId="0" applyNumberFormat="1" applyFont="1" applyFill="1" applyBorder="1" applyAlignment="1">
      <alignment/>
    </xf>
    <xf numFmtId="180" fontId="10" fillId="0" borderId="0" xfId="0" applyNumberFormat="1" applyFont="1" applyAlignment="1">
      <alignment/>
    </xf>
    <xf numFmtId="0" fontId="8" fillId="2" borderId="1" xfId="0" applyFont="1" applyFill="1" applyBorder="1" applyAlignment="1">
      <alignment/>
    </xf>
    <xf numFmtId="180" fontId="4" fillId="2" borderId="1" xfId="0" applyNumberFormat="1" applyFont="1" applyFill="1" applyBorder="1" applyAlignment="1">
      <alignment/>
    </xf>
    <xf numFmtId="180" fontId="2" fillId="3" borderId="2" xfId="0" applyNumberFormat="1" applyFont="1" applyFill="1" applyBorder="1" applyAlignment="1">
      <alignment horizontal="center"/>
    </xf>
    <xf numFmtId="180" fontId="12" fillId="3" borderId="1" xfId="0" applyNumberFormat="1" applyFont="1" applyFill="1" applyBorder="1" applyAlignment="1">
      <alignment horizontal="center"/>
    </xf>
    <xf numFmtId="180" fontId="2" fillId="3" borderId="3" xfId="0" applyNumberFormat="1" applyFont="1" applyFill="1" applyBorder="1" applyAlignment="1">
      <alignment horizontal="center"/>
    </xf>
    <xf numFmtId="180" fontId="11" fillId="3" borderId="1" xfId="0" applyNumberFormat="1" applyFont="1" applyFill="1" applyBorder="1" applyAlignment="1">
      <alignment horizontal="center"/>
    </xf>
    <xf numFmtId="188" fontId="2" fillId="3" borderId="4" xfId="0" applyNumberFormat="1" applyFont="1" applyFill="1" applyBorder="1" applyAlignment="1">
      <alignment/>
    </xf>
    <xf numFmtId="188" fontId="2" fillId="3" borderId="5" xfId="0" applyNumberFormat="1" applyFont="1" applyFill="1" applyBorder="1" applyAlignment="1">
      <alignment/>
    </xf>
    <xf numFmtId="188" fontId="6" fillId="0" borderId="0" xfId="0" applyNumberFormat="1" applyFont="1" applyAlignment="1">
      <alignment/>
    </xf>
    <xf numFmtId="188" fontId="0" fillId="0" borderId="0" xfId="0" applyNumberFormat="1" applyAlignment="1">
      <alignment/>
    </xf>
    <xf numFmtId="180" fontId="6" fillId="0" borderId="0" xfId="0" applyNumberFormat="1" applyFont="1" applyFill="1" applyBorder="1" applyAlignment="1">
      <alignment/>
    </xf>
    <xf numFmtId="4" fontId="2" fillId="3" borderId="4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181" fontId="13" fillId="0" borderId="0" xfId="0" applyNumberFormat="1" applyFont="1" applyFill="1" applyBorder="1" applyAlignment="1">
      <alignment horizontal="center"/>
    </xf>
    <xf numFmtId="180" fontId="13" fillId="0" borderId="0" xfId="0" applyNumberFormat="1" applyFont="1" applyFill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180" fontId="3" fillId="0" borderId="0" xfId="0" applyNumberFormat="1" applyFont="1" applyAlignment="1">
      <alignment horizontal="center"/>
    </xf>
    <xf numFmtId="18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6.28125" style="0" customWidth="1"/>
    <col min="2" max="2" width="14.57421875" style="1" customWidth="1"/>
    <col min="3" max="3" width="12.7109375" style="1" customWidth="1"/>
    <col min="4" max="4" width="14.7109375" style="1" customWidth="1"/>
    <col min="5" max="5" width="13.57421875" style="3" bestFit="1" customWidth="1"/>
    <col min="6" max="6" width="5.57421875" style="27" customWidth="1"/>
    <col min="7" max="7" width="12.421875" style="1" customWidth="1"/>
    <col min="8" max="8" width="3.7109375" style="1" customWidth="1"/>
    <col min="9" max="9" width="8.140625" style="1" customWidth="1"/>
    <col min="10" max="10" width="13.7109375" style="1" customWidth="1"/>
    <col min="11" max="11" width="7.421875" style="1" customWidth="1"/>
    <col min="12" max="12" width="11.57421875" style="0" bestFit="1" customWidth="1"/>
    <col min="13" max="13" width="11.421875" style="57" customWidth="1"/>
  </cols>
  <sheetData>
    <row r="1" spans="2:13" s="8" customFormat="1" ht="20.25">
      <c r="B1" s="9"/>
      <c r="C1" s="10" t="s">
        <v>34</v>
      </c>
      <c r="D1" s="9"/>
      <c r="E1" s="11"/>
      <c r="F1" s="28"/>
      <c r="G1" s="9"/>
      <c r="H1" s="9"/>
      <c r="I1" s="9"/>
      <c r="J1" s="9"/>
      <c r="K1" s="9"/>
      <c r="M1" s="56"/>
    </row>
    <row r="3" spans="2:6" ht="12.75">
      <c r="B3" s="31"/>
      <c r="C3" s="32" t="s">
        <v>13</v>
      </c>
      <c r="D3" s="32" t="s">
        <v>11</v>
      </c>
      <c r="E3" s="33" t="s">
        <v>12</v>
      </c>
      <c r="F3" s="32"/>
    </row>
    <row r="4" spans="2:7" ht="12.75">
      <c r="B4" s="31" t="s">
        <v>9</v>
      </c>
      <c r="C4" s="34">
        <v>35</v>
      </c>
      <c r="D4" s="34">
        <v>19</v>
      </c>
      <c r="E4" s="37">
        <v>0</v>
      </c>
      <c r="F4" s="32" t="s">
        <v>6</v>
      </c>
      <c r="G4" s="6">
        <f>IF(F4="N",(((E4/60)+D4)/60+C4),-((((E4/60)+D4)/60)+C4))</f>
        <v>35.31666666666667</v>
      </c>
    </row>
    <row r="5" spans="2:7" ht="12.75">
      <c r="B5" s="31" t="s">
        <v>8</v>
      </c>
      <c r="C5" s="34">
        <v>35</v>
      </c>
      <c r="D5" s="34">
        <v>10</v>
      </c>
      <c r="E5" s="37">
        <v>0</v>
      </c>
      <c r="F5" s="32" t="s">
        <v>6</v>
      </c>
      <c r="G5" s="6">
        <f>IF(F5="N",(((E5/60)+D5)/60+C5),-((((E5/60)+D5)/60)+C5))</f>
        <v>35.166666666666664</v>
      </c>
    </row>
    <row r="6" spans="2:8" ht="12.75">
      <c r="B6" s="31" t="s">
        <v>10</v>
      </c>
      <c r="C6" s="34">
        <v>3</v>
      </c>
      <c r="D6" s="34">
        <v>10</v>
      </c>
      <c r="E6" s="37">
        <v>0</v>
      </c>
      <c r="F6" s="32" t="s">
        <v>35</v>
      </c>
      <c r="G6" s="6">
        <f>IF(F6="E",(((E6/60)+D6)/60+C6),-((((E6/60)+D6)/60)+C6))</f>
        <v>-3.1666666666666665</v>
      </c>
      <c r="H6" s="16"/>
    </row>
    <row r="7" spans="2:8" ht="12.75">
      <c r="B7" s="31" t="s">
        <v>7</v>
      </c>
      <c r="C7" s="34">
        <v>3</v>
      </c>
      <c r="D7" s="34">
        <v>24</v>
      </c>
      <c r="E7" s="37">
        <v>0</v>
      </c>
      <c r="F7" s="32" t="s">
        <v>35</v>
      </c>
      <c r="G7" s="6">
        <f>IF(F7="E",(((E7/60)+D7)/60+C7),-((((E7/60)+D7)/60)+C7))</f>
        <v>-3.4</v>
      </c>
      <c r="H7" s="16"/>
    </row>
    <row r="8" spans="2:11" ht="12.75">
      <c r="B8" s="31"/>
      <c r="C8" s="32"/>
      <c r="D8" s="32"/>
      <c r="E8" s="37"/>
      <c r="F8" s="32"/>
      <c r="G8" s="16"/>
      <c r="H8" s="16"/>
      <c r="I8" s="17"/>
      <c r="J8" s="16"/>
      <c r="K8" s="16"/>
    </row>
    <row r="9" spans="2:11" ht="12.75">
      <c r="B9" s="31" t="s">
        <v>14</v>
      </c>
      <c r="C9" s="38">
        <v>35</v>
      </c>
      <c r="D9" s="38">
        <v>14</v>
      </c>
      <c r="E9" s="39">
        <v>30</v>
      </c>
      <c r="F9" s="34" t="s">
        <v>6</v>
      </c>
      <c r="G9" s="6">
        <f>IF(F9="N",(((E9/60)+D9)/60+C9),-((((E9/60)+D9)/60)+C9))</f>
        <v>35.24166666666667</v>
      </c>
      <c r="H9" s="16"/>
      <c r="K9" s="18"/>
    </row>
    <row r="10" spans="1:11" ht="13.5">
      <c r="A10" s="13"/>
      <c r="B10" s="35" t="s">
        <v>15</v>
      </c>
      <c r="C10" s="36">
        <v>1000000</v>
      </c>
      <c r="D10" s="36"/>
      <c r="E10" s="36"/>
      <c r="F10" s="32"/>
      <c r="G10" s="19"/>
      <c r="H10" s="16"/>
      <c r="I10" s="17"/>
      <c r="J10" s="16"/>
      <c r="K10" s="16"/>
    </row>
    <row r="11" spans="1:11" ht="12.75">
      <c r="A11" s="13"/>
      <c r="B11" s="35" t="s">
        <v>48</v>
      </c>
      <c r="C11" s="66" t="s">
        <v>49</v>
      </c>
      <c r="D11" s="4"/>
      <c r="G11" s="16"/>
      <c r="H11" s="20"/>
      <c r="I11" s="17"/>
      <c r="J11" s="16"/>
      <c r="K11" s="16"/>
    </row>
    <row r="12" spans="8:11" ht="12.75">
      <c r="H12" s="20"/>
      <c r="I12" s="17"/>
      <c r="J12" s="17"/>
      <c r="K12" s="16"/>
    </row>
    <row r="13" spans="2:8" ht="12.75">
      <c r="B13" s="40" t="s">
        <v>19</v>
      </c>
      <c r="C13" s="1">
        <f>(LOG((TAN((G4/2+45)*PI()/180)),2.718281828)+(B23/2)*LOG(((1-B23*SIN(G4*PI()/180))/(1+B23*SIN(G4*PI()/180))),2.718281828))</f>
        <v>0.6557238957892647</v>
      </c>
      <c r="F13" s="65" t="s">
        <v>45</v>
      </c>
      <c r="G13" s="57">
        <f>60*C13*180/PI()</f>
        <v>2254.2127052760648</v>
      </c>
      <c r="H13" s="20"/>
    </row>
    <row r="14" spans="2:8" ht="12.75">
      <c r="B14" s="40" t="s">
        <v>20</v>
      </c>
      <c r="C14" s="1">
        <f>(LOG((TAN((G5/2+45)*PI()/180)),2.718281828)+(B23/2)*LOG(((1-B23*SIN(G5*PI()/180))/(1+B23*SIN(G5*PI()/180))),2.718281828))</f>
        <v>0.6525327638285661</v>
      </c>
      <c r="D14" s="40" t="s">
        <v>21</v>
      </c>
      <c r="E14" s="1">
        <f>C13-C14</f>
        <v>0.0031911319606986455</v>
      </c>
      <c r="F14" s="65" t="s">
        <v>44</v>
      </c>
      <c r="G14" s="57">
        <f>60*C14*180/PI()</f>
        <v>2243.2424016830246</v>
      </c>
      <c r="H14" s="22"/>
    </row>
    <row r="15" spans="2:8" ht="12.75">
      <c r="B15" s="47" t="s">
        <v>27</v>
      </c>
      <c r="C15" s="16">
        <f>PI()/180*G6</f>
        <v>-0.0552687596464871</v>
      </c>
      <c r="D15" s="16"/>
      <c r="F15" s="64" t="s">
        <v>46</v>
      </c>
      <c r="G15" s="57">
        <f>60*C15*180/PI()</f>
        <v>-190</v>
      </c>
      <c r="H15" s="16"/>
    </row>
    <row r="16" spans="2:8" ht="12.75">
      <c r="B16" s="47" t="s">
        <v>28</v>
      </c>
      <c r="C16" s="16">
        <f>PI()/180*G7</f>
        <v>-0.059341194567807204</v>
      </c>
      <c r="D16" s="41" t="s">
        <v>22</v>
      </c>
      <c r="E16" s="1">
        <f>PI()/180*ABS(G6-G7)</f>
        <v>0.004072434921320103</v>
      </c>
      <c r="F16" s="64" t="s">
        <v>47</v>
      </c>
      <c r="G16" s="57">
        <f>60*C16*180/PI()</f>
        <v>-204</v>
      </c>
      <c r="H16" s="16"/>
    </row>
    <row r="17" spans="7:11" ht="12.75">
      <c r="G17" s="16"/>
      <c r="H17" s="16"/>
      <c r="I17" s="17"/>
      <c r="J17" s="16"/>
      <c r="K17" s="26"/>
    </row>
    <row r="18" spans="7:11" ht="12.75">
      <c r="G18" s="16"/>
      <c r="H18" s="23"/>
      <c r="I18" s="23"/>
      <c r="J18" s="24"/>
      <c r="K18" s="25"/>
    </row>
    <row r="19" spans="1:11" ht="12.75">
      <c r="A19" s="48" t="s">
        <v>1</v>
      </c>
      <c r="B19" s="49">
        <f>IF(C11="WGS84",6378137,IF(C11="ED50",6378388,0))</f>
        <v>6378137</v>
      </c>
      <c r="C19" s="14"/>
      <c r="D19" s="53" t="s">
        <v>30</v>
      </c>
      <c r="E19" s="54">
        <f>(1/C10)*B26*E16*1000</f>
        <v>21.23775752376242</v>
      </c>
      <c r="F19" s="50" t="s">
        <v>18</v>
      </c>
      <c r="G19" s="21"/>
      <c r="H19" s="16"/>
      <c r="I19" s="17"/>
      <c r="J19" s="16"/>
      <c r="K19" s="16"/>
    </row>
    <row r="20" spans="1:11" ht="12.75">
      <c r="A20" s="48" t="s">
        <v>5</v>
      </c>
      <c r="B20" s="49">
        <f>IF(C11="WGS84",1/298.257223563,IF(C11="ED50",1/297,0))</f>
        <v>0.0033528106647474805</v>
      </c>
      <c r="C20" s="14"/>
      <c r="D20" s="53" t="s">
        <v>31</v>
      </c>
      <c r="E20" s="55">
        <f>(1/C10)*B26*E14*1000</f>
        <v>16.641760547932225</v>
      </c>
      <c r="F20" s="52" t="s">
        <v>18</v>
      </c>
      <c r="G20" s="16"/>
      <c r="H20" s="16"/>
      <c r="I20" s="17"/>
      <c r="J20" s="16"/>
      <c r="K20" s="16"/>
    </row>
    <row r="21" spans="1:11" ht="12.75">
      <c r="A21" s="13" t="s">
        <v>2</v>
      </c>
      <c r="B21" s="12">
        <f>B20*(2-B20)</f>
        <v>0.0066943799901413165</v>
      </c>
      <c r="D21" s="40"/>
      <c r="E21" s="5"/>
      <c r="F21" s="29"/>
      <c r="G21" s="16"/>
      <c r="H21" s="16"/>
      <c r="I21" s="17"/>
      <c r="J21" s="16"/>
      <c r="K21" s="16"/>
    </row>
    <row r="22" spans="1:11" ht="12.75">
      <c r="A22" s="13" t="s">
        <v>3</v>
      </c>
      <c r="B22" s="12">
        <f>1-B21</f>
        <v>0.9933056200098587</v>
      </c>
      <c r="C22" s="14"/>
      <c r="D22" s="61" t="s">
        <v>41</v>
      </c>
      <c r="E22" s="62">
        <f>PI()*E19/E16/10800</f>
        <v>1.5169826802687438</v>
      </c>
      <c r="G22" s="16"/>
      <c r="H22" s="23"/>
      <c r="I22" s="23"/>
      <c r="J22" s="24"/>
      <c r="K22" s="16"/>
    </row>
    <row r="23" spans="1:11" ht="12.75">
      <c r="A23" s="13" t="s">
        <v>16</v>
      </c>
      <c r="B23" s="12">
        <f>SQRT(B21)</f>
        <v>0.08181919084262149</v>
      </c>
      <c r="C23" s="16"/>
      <c r="D23" s="16"/>
      <c r="E23" s="16"/>
      <c r="F23" s="30"/>
      <c r="G23" s="21"/>
      <c r="H23" s="16"/>
      <c r="I23" s="16"/>
      <c r="J23" s="16"/>
      <c r="K23" s="16"/>
    </row>
    <row r="24" spans="1:7" ht="12.75">
      <c r="A24" s="13" t="s">
        <v>0</v>
      </c>
      <c r="B24" s="12">
        <f>SQRT(1-B21*POWER(SIN(G9*PI()/180),2))</f>
        <v>0.9988848996494457</v>
      </c>
      <c r="C24" s="16"/>
      <c r="G24" s="16"/>
    </row>
    <row r="25" spans="1:3" ht="12.75">
      <c r="A25" s="13" t="s">
        <v>4</v>
      </c>
      <c r="B25" s="12">
        <f>B19/B24</f>
        <v>6385257.202544937</v>
      </c>
      <c r="C25" s="21"/>
    </row>
    <row r="26" spans="1:6" ht="12.75">
      <c r="A26" s="13" t="s">
        <v>17</v>
      </c>
      <c r="B26" s="12">
        <f>B25*COS(G9*PI()/180)</f>
        <v>5215002.310430557</v>
      </c>
      <c r="C26" s="16"/>
      <c r="D26" s="16"/>
      <c r="E26" s="17"/>
      <c r="F26" s="30"/>
    </row>
    <row r="42" ht="12.75">
      <c r="D42" s="2"/>
    </row>
    <row r="100" ht="12.75">
      <c r="A100" t="s">
        <v>49</v>
      </c>
    </row>
    <row r="101" ht="12.75">
      <c r="A101" t="s">
        <v>50</v>
      </c>
    </row>
  </sheetData>
  <dataValidations count="1">
    <dataValidation type="list" allowBlank="1" showInputMessage="1" showErrorMessage="1" sqref="C11">
      <formula1>A100:A101</formula1>
    </dataValidation>
  </dataValidations>
  <printOptions/>
  <pageMargins left="0.51" right="0.75" top="0.84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I30" sqref="I30"/>
    </sheetView>
  </sheetViews>
  <sheetFormatPr defaultColWidth="11.421875" defaultRowHeight="12.75"/>
  <cols>
    <col min="1" max="1" width="6.8515625" style="0" customWidth="1"/>
    <col min="2" max="2" width="9.57421875" style="1" customWidth="1"/>
    <col min="3" max="3" width="20.00390625" style="1" customWidth="1"/>
    <col min="4" max="4" width="14.7109375" style="1" customWidth="1"/>
    <col min="5" max="5" width="13.421875" style="1" customWidth="1"/>
    <col min="6" max="6" width="4.140625" style="3" customWidth="1"/>
    <col min="7" max="7" width="13.140625" style="1" bestFit="1" customWidth="1"/>
    <col min="8" max="8" width="4.421875" style="7" customWidth="1"/>
    <col min="9" max="9" width="6.7109375" style="1" customWidth="1"/>
    <col min="10" max="12" width="11.421875" style="1" customWidth="1"/>
  </cols>
  <sheetData>
    <row r="1" spans="1:9" ht="20.25">
      <c r="A1" s="42"/>
      <c r="B1" s="16"/>
      <c r="C1" s="10" t="s">
        <v>29</v>
      </c>
      <c r="D1" s="43"/>
      <c r="E1" s="16"/>
      <c r="F1" s="17"/>
      <c r="G1" s="16"/>
      <c r="H1" s="25"/>
      <c r="I1" s="16"/>
    </row>
    <row r="2" spans="1:9" ht="12.75">
      <c r="A2" s="42"/>
      <c r="B2" s="16"/>
      <c r="C2" s="16"/>
      <c r="D2" s="16"/>
      <c r="E2" s="16"/>
      <c r="F2" s="17"/>
      <c r="G2" s="16"/>
      <c r="H2" s="25"/>
      <c r="I2" s="16"/>
    </row>
    <row r="3" ht="12.75"/>
    <row r="4" ht="12.75">
      <c r="B4" s="9" t="s">
        <v>36</v>
      </c>
    </row>
    <row r="5" ht="12.75"/>
    <row r="6" spans="1:9" ht="12.75">
      <c r="A6" s="44"/>
      <c r="B6" s="31"/>
      <c r="C6" s="32" t="s">
        <v>13</v>
      </c>
      <c r="D6" s="32" t="s">
        <v>11</v>
      </c>
      <c r="E6" s="33" t="s">
        <v>12</v>
      </c>
      <c r="F6" s="32"/>
      <c r="H6" s="25"/>
      <c r="I6" s="15"/>
    </row>
    <row r="7" spans="1:8" ht="12.75">
      <c r="A7" s="44"/>
      <c r="B7" s="31" t="s">
        <v>23</v>
      </c>
      <c r="C7" s="34">
        <v>40</v>
      </c>
      <c r="D7" s="34">
        <v>30</v>
      </c>
      <c r="E7" s="37">
        <v>0</v>
      </c>
      <c r="F7" s="32" t="s">
        <v>6</v>
      </c>
      <c r="G7" s="6">
        <f>IF(F7="N",(((E7/60)+D7)/60+C7),-((((E7/60)+D7)/60)+C7))</f>
        <v>40.5</v>
      </c>
      <c r="H7" s="25"/>
    </row>
    <row r="8" spans="1:8" ht="12.75">
      <c r="A8" s="44"/>
      <c r="B8" s="31" t="s">
        <v>24</v>
      </c>
      <c r="C8" s="34">
        <v>3</v>
      </c>
      <c r="D8" s="34">
        <v>30</v>
      </c>
      <c r="E8" s="37">
        <v>0</v>
      </c>
      <c r="F8" s="32" t="s">
        <v>35</v>
      </c>
      <c r="G8" s="6">
        <f>IF(F8="E",(((E8/60)+D8)/60+C8),-((((E8/60)+D8)/60)+C8))</f>
        <v>-3.5</v>
      </c>
      <c r="H8" s="25"/>
    </row>
    <row r="9" spans="1:9" ht="12.75">
      <c r="A9" s="44"/>
      <c r="B9" s="16"/>
      <c r="C9" s="16"/>
      <c r="D9" s="16"/>
      <c r="E9" s="16"/>
      <c r="F9" s="16"/>
      <c r="G9" s="16"/>
      <c r="H9" s="25"/>
      <c r="I9" s="16"/>
    </row>
    <row r="10" spans="1:9" ht="12.75">
      <c r="A10" s="44"/>
      <c r="B10" s="40" t="s">
        <v>25</v>
      </c>
      <c r="C10" s="67">
        <f>(LOG((TAN((G7/2+45)*PI()/180)),2.718281828)+('Cálculo dimensiones'!B23/2)*LOG(((1-'Cálculo dimensiones'!B23*SIN(G7*PI()/180))/(1+'Cálculo dimensiones'!B23*SIN(G7*PI()/180))),2.718281828))</f>
        <v>0.7699917880316677</v>
      </c>
      <c r="D10" s="63" t="s">
        <v>42</v>
      </c>
      <c r="E10" s="16">
        <f>C10*180/PI()</f>
        <v>44.11727971394645</v>
      </c>
      <c r="F10" s="16"/>
      <c r="G10" s="16"/>
      <c r="H10" s="25"/>
      <c r="I10" s="17"/>
    </row>
    <row r="11" spans="1:9" ht="12.75">
      <c r="A11" s="44"/>
      <c r="B11" s="46" t="s">
        <v>26</v>
      </c>
      <c r="C11" s="1">
        <f>PI()/180*(G8)</f>
        <v>-0.061086523819801536</v>
      </c>
      <c r="E11" s="23"/>
      <c r="F11" s="23"/>
      <c r="G11" s="21"/>
      <c r="H11" s="25"/>
      <c r="I11" s="16"/>
    </row>
    <row r="12" spans="1:9" ht="12.75">
      <c r="A12" s="44"/>
      <c r="E12" s="16"/>
      <c r="F12" s="17"/>
      <c r="G12" s="16"/>
      <c r="H12" s="25"/>
      <c r="I12" s="16"/>
    </row>
    <row r="13" spans="1:9" ht="12.75">
      <c r="A13" s="44"/>
      <c r="B13" s="51" t="s">
        <v>32</v>
      </c>
      <c r="C13" s="54">
        <f>(1/'Cálculo dimensiones'!C10)*'Cálculo dimensiones'!B26*ABS(C11-'Cálculo dimensiones'!C16)*1000</f>
        <v>9.101896081612475</v>
      </c>
      <c r="D13" s="50" t="s">
        <v>18</v>
      </c>
      <c r="E13" s="16"/>
      <c r="F13" s="17"/>
      <c r="G13" s="16"/>
      <c r="H13" s="25"/>
      <c r="I13" s="16"/>
    </row>
    <row r="14" spans="1:9" ht="12.75">
      <c r="A14" s="44"/>
      <c r="B14" s="51" t="s">
        <v>33</v>
      </c>
      <c r="C14" s="55">
        <f>(1/'Cálculo dimensiones'!C10)*'Cálculo dimensiones'!B26*ABS(C10-'Cálculo dimensiones'!C14)*1000</f>
        <v>612.5490826000936</v>
      </c>
      <c r="D14" s="52" t="s">
        <v>18</v>
      </c>
      <c r="E14" s="23"/>
      <c r="F14" s="23"/>
      <c r="G14" s="21"/>
      <c r="H14" s="25"/>
      <c r="I14" s="16"/>
    </row>
    <row r="15" spans="1:9" ht="12.75">
      <c r="A15" s="44"/>
      <c r="E15" s="16"/>
      <c r="F15" s="17"/>
      <c r="G15" s="16"/>
      <c r="H15" s="25"/>
      <c r="I15" s="16"/>
    </row>
    <row r="16" spans="1:9" ht="12.75">
      <c r="A16" s="44"/>
      <c r="E16" s="16"/>
      <c r="F16" s="17"/>
      <c r="G16" s="16"/>
      <c r="H16" s="25"/>
      <c r="I16" s="16"/>
    </row>
    <row r="17" spans="1:9" ht="12.75">
      <c r="A17" s="44"/>
      <c r="B17" s="58" t="s">
        <v>37</v>
      </c>
      <c r="C17" s="16"/>
      <c r="D17" s="16"/>
      <c r="E17" s="16"/>
      <c r="F17" s="17"/>
      <c r="G17" s="16"/>
      <c r="H17" s="25"/>
      <c r="I17" s="16"/>
    </row>
    <row r="18" spans="1:9" ht="12.75">
      <c r="A18" s="44"/>
      <c r="B18" s="58" t="s">
        <v>43</v>
      </c>
      <c r="C18" s="16"/>
      <c r="D18" s="16"/>
      <c r="E18" s="45"/>
      <c r="F18" s="17"/>
      <c r="G18" s="16"/>
      <c r="H18" s="25"/>
      <c r="I18" s="16"/>
    </row>
    <row r="19" spans="2:4" ht="12.75">
      <c r="B19" s="16"/>
      <c r="C19" s="16"/>
      <c r="D19" s="16"/>
    </row>
    <row r="20" spans="2:4" ht="12.75">
      <c r="B20" s="51" t="s">
        <v>39</v>
      </c>
      <c r="C20" s="59">
        <f>'Cálculo dimensiones'!B26*C11</f>
        <v>-318566.36285643623</v>
      </c>
      <c r="D20" s="50" t="s">
        <v>38</v>
      </c>
    </row>
    <row r="21" spans="2:4" ht="12.75">
      <c r="B21" s="51" t="s">
        <v>40</v>
      </c>
      <c r="C21" s="60">
        <f>'Cálculo dimensiones'!B26*C10</f>
        <v>4015508.953597702</v>
      </c>
      <c r="D21" s="52" t="s">
        <v>38</v>
      </c>
    </row>
    <row r="22" ht="12.75"/>
    <row r="23" ht="12.75"/>
    <row r="24" spans="2:4" ht="12.75">
      <c r="B24" s="58" t="s">
        <v>37</v>
      </c>
      <c r="C24" s="16"/>
      <c r="D24" s="16"/>
    </row>
    <row r="25" spans="2:4" ht="12.75">
      <c r="B25" s="58" t="s">
        <v>51</v>
      </c>
      <c r="C25" s="16"/>
      <c r="D25" s="16"/>
    </row>
    <row r="26" ht="12.75"/>
    <row r="27" spans="2:4" ht="12.75">
      <c r="B27" s="51" t="s">
        <v>39</v>
      </c>
      <c r="C27" s="59">
        <f>'Cálculo dimensiones'!B19*C11</f>
        <v>-389618.2177764575</v>
      </c>
      <c r="D27" s="50" t="s">
        <v>38</v>
      </c>
    </row>
    <row r="28" spans="2:4" ht="12.75">
      <c r="B28" s="51" t="s">
        <v>40</v>
      </c>
      <c r="C28" s="60">
        <f>'Cálculo dimensiones'!B19*C10</f>
        <v>4911113.112940936</v>
      </c>
      <c r="D28" s="52" t="s">
        <v>38</v>
      </c>
    </row>
    <row r="38" ht="12.75">
      <c r="E38" s="2"/>
    </row>
  </sheetData>
  <printOptions/>
  <pageMargins left="0.56" right="0.75" top="0.65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Seccion</dc:creator>
  <cp:keywords/>
  <dc:description/>
  <cp:lastModifiedBy>PAPA</cp:lastModifiedBy>
  <cp:lastPrinted>2000-12-03T20:18:19Z</cp:lastPrinted>
  <dcterms:created xsi:type="dcterms:W3CDTF">2000-11-13T11:04:31Z</dcterms:created>
  <dcterms:modified xsi:type="dcterms:W3CDTF">2007-05-24T17:24:08Z</dcterms:modified>
  <cp:category/>
  <cp:version/>
  <cp:contentType/>
  <cp:contentStatus/>
</cp:coreProperties>
</file>