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artesianas a Geodésicas" sheetId="1" r:id="rId1"/>
    <sheet name="Geodésicas a Cartesianas" sheetId="2" r:id="rId2"/>
  </sheets>
  <definedNames/>
  <calcPr fullCalcOnLoad="1"/>
</workbook>
</file>

<file path=xl/sharedStrings.xml><?xml version="1.0" encoding="utf-8"?>
<sst xmlns="http://schemas.openxmlformats.org/spreadsheetml/2006/main" count="69" uniqueCount="63">
  <si>
    <t>a</t>
  </si>
  <si>
    <t>e2</t>
  </si>
  <si>
    <t>1-e2</t>
  </si>
  <si>
    <t>f</t>
  </si>
  <si>
    <t>N</t>
  </si>
  <si>
    <t>fi</t>
  </si>
  <si>
    <t>p</t>
  </si>
  <si>
    <t>tan fi</t>
  </si>
  <si>
    <t>LAT</t>
  </si>
  <si>
    <t>lon</t>
  </si>
  <si>
    <t>Tan lon</t>
  </si>
  <si>
    <t>abs lon</t>
  </si>
  <si>
    <t>X=</t>
  </si>
  <si>
    <t>Y=</t>
  </si>
  <si>
    <t>Z=</t>
  </si>
  <si>
    <t>LON</t>
  </si>
  <si>
    <t>h ELIP</t>
  </si>
  <si>
    <r>
      <t xml:space="preserve">       </t>
    </r>
    <r>
      <rPr>
        <b/>
        <u val="single"/>
        <sz val="16"/>
        <rFont val="Arial"/>
        <family val="2"/>
      </rPr>
      <t>TRANSFORMACIÓN CARTESIANAS A GEODÉSICAS</t>
    </r>
  </si>
  <si>
    <t>Lat A</t>
  </si>
  <si>
    <t>Lon A</t>
  </si>
  <si>
    <t>W</t>
  </si>
  <si>
    <t>Wa</t>
  </si>
  <si>
    <t>Na</t>
  </si>
  <si>
    <t>m</t>
  </si>
  <si>
    <t>Ondulación</t>
  </si>
  <si>
    <t>Alt  A (ort)</t>
  </si>
  <si>
    <t>h (elip)</t>
  </si>
  <si>
    <t>X</t>
  </si>
  <si>
    <t>Y</t>
  </si>
  <si>
    <t>Z</t>
  </si>
  <si>
    <r>
      <t xml:space="preserve">       </t>
    </r>
    <r>
      <rPr>
        <b/>
        <u val="single"/>
        <sz val="16"/>
        <rFont val="Arial"/>
        <family val="2"/>
      </rPr>
      <t>TRANSFORMACIÓN GEODÉSICAS A CARTESIANAS</t>
    </r>
  </si>
  <si>
    <t>Elipsoide</t>
  </si>
  <si>
    <t>WGS84</t>
  </si>
  <si>
    <t>ED50</t>
  </si>
  <si>
    <r>
      <t>tan fi</t>
    </r>
    <r>
      <rPr>
        <vertAlign val="subscript"/>
        <sz val="10"/>
        <rFont val="Arial"/>
        <family val="2"/>
      </rPr>
      <t>1</t>
    </r>
  </si>
  <si>
    <r>
      <t>fi</t>
    </r>
    <r>
      <rPr>
        <vertAlign val="subscript"/>
        <sz val="10"/>
        <rFont val="Arial"/>
        <family val="2"/>
      </rPr>
      <t>1</t>
    </r>
  </si>
  <si>
    <r>
      <t>fi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(rad)(h=0)</t>
    </r>
  </si>
  <si>
    <r>
      <t>N</t>
    </r>
    <r>
      <rPr>
        <vertAlign val="subscript"/>
        <sz val="10"/>
        <rFont val="Arial"/>
        <family val="2"/>
      </rPr>
      <t>1</t>
    </r>
  </si>
  <si>
    <r>
      <t>h</t>
    </r>
    <r>
      <rPr>
        <vertAlign val="subscript"/>
        <sz val="10"/>
        <rFont val="Arial"/>
        <family val="2"/>
      </rPr>
      <t>1</t>
    </r>
  </si>
  <si>
    <t>Fórmula (4-4) pag. 77 con h=0</t>
  </si>
  <si>
    <r>
      <t>N</t>
    </r>
    <r>
      <rPr>
        <vertAlign val="subscript"/>
        <sz val="10"/>
        <rFont val="Arial"/>
        <family val="2"/>
      </rPr>
      <t>2</t>
    </r>
  </si>
  <si>
    <r>
      <t>Fórmula (2-13) página 32 con fi</t>
    </r>
    <r>
      <rPr>
        <vertAlign val="subscript"/>
        <sz val="10"/>
        <rFont val="Arial"/>
        <family val="2"/>
      </rPr>
      <t>1</t>
    </r>
  </si>
  <si>
    <r>
      <t>Fórmula (2-13) página 32 con fi</t>
    </r>
    <r>
      <rPr>
        <vertAlign val="subscript"/>
        <sz val="10"/>
        <rFont val="Arial"/>
        <family val="2"/>
      </rPr>
      <t>2</t>
    </r>
  </si>
  <si>
    <r>
      <t>h</t>
    </r>
    <r>
      <rPr>
        <vertAlign val="subscript"/>
        <sz val="10"/>
        <rFont val="Arial"/>
        <family val="2"/>
      </rPr>
      <t>2</t>
    </r>
  </si>
  <si>
    <r>
      <t>Fórmula (4-3) página 77 con fi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2</t>
    </r>
  </si>
  <si>
    <r>
      <t>Fórmula (4-4) pag. 77 con h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1</t>
    </r>
  </si>
  <si>
    <r>
      <t>Fórmula (4-3) página 77 con fi1 y con N</t>
    </r>
    <r>
      <rPr>
        <vertAlign val="subscript"/>
        <sz val="10"/>
        <color indexed="8"/>
        <rFont val="Arial"/>
        <family val="2"/>
      </rPr>
      <t>1</t>
    </r>
  </si>
  <si>
    <r>
      <t>fi</t>
    </r>
    <r>
      <rPr>
        <vertAlign val="subscript"/>
        <sz val="10"/>
        <rFont val="Arial"/>
        <family val="2"/>
      </rPr>
      <t>2</t>
    </r>
  </si>
  <si>
    <r>
      <t>tan fi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</si>
  <si>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3</t>
    </r>
  </si>
  <si>
    <r>
      <t>tan fi</t>
    </r>
    <r>
      <rPr>
        <vertAlign val="subscript"/>
        <sz val="10"/>
        <rFont val="Arial"/>
        <family val="2"/>
      </rPr>
      <t>3</t>
    </r>
  </si>
  <si>
    <r>
      <t>Fórmula (4-4) pag. 77 con h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2</t>
    </r>
  </si>
  <si>
    <r>
      <t>Fórmula (2-13) página 32 con fi</t>
    </r>
    <r>
      <rPr>
        <vertAlign val="subscript"/>
        <sz val="10"/>
        <rFont val="Arial"/>
        <family val="2"/>
      </rPr>
      <t>3</t>
    </r>
  </si>
  <si>
    <r>
      <t>Fórmula (4-3) página 77 con fi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3</t>
    </r>
  </si>
  <si>
    <r>
      <t>tan fi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</si>
  <si>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4</t>
    </r>
  </si>
  <si>
    <r>
      <t>Fórmula (4-4) pag. 77 con h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3</t>
    </r>
  </si>
  <si>
    <r>
      <t>Fórmula (2-13) página 32 con fi</t>
    </r>
    <r>
      <rPr>
        <vertAlign val="subscript"/>
        <sz val="10"/>
        <rFont val="Arial"/>
        <family val="2"/>
      </rPr>
      <t>4</t>
    </r>
  </si>
  <si>
    <r>
      <t>Fórmula (4-3) página 77 con fi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y con N</t>
    </r>
    <r>
      <rPr>
        <vertAlign val="subscript"/>
        <sz val="10"/>
        <color indexed="8"/>
        <rFont val="Arial"/>
        <family val="2"/>
      </rPr>
      <t>4</t>
    </r>
  </si>
  <si>
    <r>
      <t>fi</t>
    </r>
    <r>
      <rPr>
        <vertAlign val="subscript"/>
        <sz val="10"/>
        <color indexed="30"/>
        <rFont val="Arial"/>
        <family val="2"/>
      </rPr>
      <t>3</t>
    </r>
  </si>
  <si>
    <r>
      <t>h</t>
    </r>
    <r>
      <rPr>
        <vertAlign val="subscript"/>
        <sz val="10"/>
        <color indexed="30"/>
        <rFont val="Arial"/>
        <family val="2"/>
      </rPr>
      <t>3</t>
    </r>
  </si>
  <si>
    <r>
      <t>h</t>
    </r>
    <r>
      <rPr>
        <vertAlign val="subscript"/>
        <sz val="10"/>
        <color indexed="30"/>
        <rFont val="Arial"/>
        <family val="2"/>
      </rPr>
      <t>4</t>
    </r>
  </si>
  <si>
    <r>
      <t>fi</t>
    </r>
    <r>
      <rPr>
        <vertAlign val="subscript"/>
        <sz val="10"/>
        <color indexed="3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</si>
</sst>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00000"/>
    <numFmt numFmtId="182" formatCode="0.000"/>
    <numFmt numFmtId="183" formatCode="0.0"/>
    <numFmt numFmtId="184" formatCode="0.00000000000"/>
    <numFmt numFmtId="185" formatCode="0.000000000"/>
    <numFmt numFmtId="186" formatCode="0.0000"/>
    <numFmt numFmtId="187" formatCode="0.0000000"/>
    <numFmt numFmtId="188" formatCode="0.00000000000000"/>
    <numFmt numFmtId="189" formatCode="0.00000"/>
    <numFmt numFmtId="190" formatCode="0.000000000000"/>
  </numFmts>
  <fonts count="50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7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Tahoma"/>
      <family val="2"/>
    </font>
    <font>
      <sz val="10"/>
      <color indexed="30"/>
      <name val="Arial"/>
      <family val="2"/>
    </font>
    <font>
      <vertAlign val="subscript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 horizontal="right"/>
    </xf>
    <xf numFmtId="180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0" fontId="4" fillId="0" borderId="0" xfId="0" applyNumberFormat="1" applyFont="1" applyAlignment="1" applyProtection="1">
      <alignment/>
      <protection hidden="1"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 locked="0"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4" fillId="0" borderId="0" xfId="0" applyNumberFormat="1" applyFont="1" applyAlignment="1" applyProtection="1">
      <alignment/>
      <protection hidden="1" locked="0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 applyProtection="1">
      <alignment/>
      <protection hidden="1" locked="0"/>
    </xf>
    <xf numFmtId="180" fontId="0" fillId="0" borderId="0" xfId="0" applyNumberForma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4" fontId="3" fillId="0" borderId="0" xfId="0" applyNumberFormat="1" applyFont="1" applyAlignment="1">
      <alignment/>
    </xf>
    <xf numFmtId="180" fontId="5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180" fontId="2" fillId="0" borderId="0" xfId="0" applyNumberFormat="1" applyFont="1" applyAlignment="1">
      <alignment horizontal="right"/>
    </xf>
    <xf numFmtId="180" fontId="5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89" fontId="2" fillId="33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9" fontId="2" fillId="33" borderId="13" xfId="0" applyNumberFormat="1" applyFont="1" applyFill="1" applyBorder="1" applyAlignment="1">
      <alignment/>
    </xf>
    <xf numFmtId="180" fontId="2" fillId="33" borderId="11" xfId="0" applyNumberFormat="1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182" fontId="2" fillId="33" borderId="10" xfId="0" applyNumberFormat="1" applyFont="1" applyFill="1" applyBorder="1" applyAlignment="1">
      <alignment/>
    </xf>
    <xf numFmtId="180" fontId="9" fillId="0" borderId="0" xfId="0" applyNumberFormat="1" applyFont="1" applyAlignment="1">
      <alignment/>
    </xf>
    <xf numFmtId="190" fontId="4" fillId="0" borderId="0" xfId="0" applyNumberFormat="1" applyFont="1" applyAlignment="1" applyProtection="1">
      <alignment/>
      <protection hidden="1" locked="0"/>
    </xf>
    <xf numFmtId="180" fontId="7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1" fontId="0" fillId="0" borderId="0" xfId="0" applyNumberFormat="1" applyFont="1" applyAlignment="1">
      <alignment horizontal="left"/>
    </xf>
    <xf numFmtId="180" fontId="49" fillId="0" borderId="0" xfId="0" applyNumberFormat="1" applyFont="1" applyAlignment="1">
      <alignment/>
    </xf>
    <xf numFmtId="188" fontId="49" fillId="0" borderId="0" xfId="0" applyNumberFormat="1" applyFont="1" applyAlignment="1">
      <alignment/>
    </xf>
    <xf numFmtId="181" fontId="4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K29" sqref="K29"/>
    </sheetView>
  </sheetViews>
  <sheetFormatPr defaultColWidth="11.421875" defaultRowHeight="12.75"/>
  <cols>
    <col min="1" max="1" width="6.28125" style="0" customWidth="1"/>
    <col min="2" max="2" width="18.8515625" style="1" customWidth="1"/>
    <col min="3" max="3" width="16.8515625" style="1" customWidth="1"/>
    <col min="4" max="4" width="12.7109375" style="1" customWidth="1"/>
    <col min="5" max="5" width="17.8515625" style="1" customWidth="1"/>
    <col min="6" max="6" width="18.57421875" style="4" bestFit="1" customWidth="1"/>
    <col min="7" max="7" width="13.57421875" style="1" bestFit="1" customWidth="1"/>
    <col min="8" max="8" width="3.57421875" style="1" customWidth="1"/>
    <col min="9" max="9" width="18.28125" style="1" customWidth="1"/>
    <col min="10" max="10" width="16.8515625" style="1" customWidth="1"/>
    <col min="11" max="13" width="11.421875" style="1" customWidth="1"/>
  </cols>
  <sheetData>
    <row r="1" spans="2:13" s="12" customFormat="1" ht="20.25">
      <c r="B1" s="43" t="s">
        <v>17</v>
      </c>
      <c r="C1" s="13"/>
      <c r="D1" s="14"/>
      <c r="E1" s="13"/>
      <c r="F1" s="13"/>
      <c r="G1" s="13"/>
      <c r="J1" s="13"/>
      <c r="K1" s="13"/>
      <c r="L1" s="13"/>
      <c r="M1" s="13"/>
    </row>
    <row r="3" spans="1:9" ht="12.75">
      <c r="A3" s="16" t="s">
        <v>0</v>
      </c>
      <c r="B3" s="9">
        <v>6378137</v>
      </c>
      <c r="D3" s="30" t="s">
        <v>12</v>
      </c>
      <c r="E3" s="31">
        <v>4625924.7036</v>
      </c>
      <c r="F3" s="7"/>
      <c r="G3" s="6"/>
      <c r="H3" s="11"/>
      <c r="I3" s="29"/>
    </row>
    <row r="4" spans="1:9" ht="12.75">
      <c r="A4" s="16" t="s">
        <v>3</v>
      </c>
      <c r="B4" s="9">
        <f>1/298.257223563</f>
        <v>0.0033528106647474805</v>
      </c>
      <c r="D4" s="30" t="s">
        <v>13</v>
      </c>
      <c r="E4" s="31">
        <v>-307096.7756</v>
      </c>
      <c r="F4" s="7"/>
      <c r="G4" s="6"/>
      <c r="H4" s="11"/>
      <c r="I4" s="29"/>
    </row>
    <row r="5" spans="1:9" ht="12.75">
      <c r="A5" s="17" t="s">
        <v>1</v>
      </c>
      <c r="B5" s="44">
        <f>B4*(2-B4)</f>
        <v>0.0066943799901413165</v>
      </c>
      <c r="D5" s="30" t="s">
        <v>14</v>
      </c>
      <c r="E5" s="31">
        <v>4365771.1425</v>
      </c>
      <c r="F5" s="7"/>
      <c r="G5" s="6"/>
      <c r="I5" s="8"/>
    </row>
    <row r="6" spans="1:9" ht="12.75">
      <c r="A6" s="17" t="s">
        <v>2</v>
      </c>
      <c r="B6" s="44">
        <f>1-B5</f>
        <v>0.9933056200098587</v>
      </c>
      <c r="I6" s="8"/>
    </row>
    <row r="7" spans="1:9" ht="12.75">
      <c r="A7" s="17"/>
      <c r="B7" s="15"/>
      <c r="I7" s="8"/>
    </row>
    <row r="8" spans="1:10" ht="12.75">
      <c r="A8" s="17"/>
      <c r="B8" s="15"/>
      <c r="D8" s="1" t="s">
        <v>6</v>
      </c>
      <c r="E8" s="22">
        <f>SQRT($E$3^2+$E$4^2)</f>
        <v>4636106.9652199205</v>
      </c>
      <c r="I8" s="5"/>
      <c r="J8" s="3"/>
    </row>
    <row r="9" spans="1:10" ht="15.75">
      <c r="A9" s="17"/>
      <c r="B9" s="49" t="s">
        <v>39</v>
      </c>
      <c r="D9" s="49" t="s">
        <v>34</v>
      </c>
      <c r="E9" s="4">
        <f>($E$5/E8)/(1-$B$5)</f>
        <v>0.9480355556645167</v>
      </c>
      <c r="I9" s="5"/>
      <c r="J9" s="3"/>
    </row>
    <row r="10" spans="1:10" ht="15.75">
      <c r="A10" s="17"/>
      <c r="B10" s="15"/>
      <c r="D10" s="49" t="s">
        <v>35</v>
      </c>
      <c r="E10" s="32">
        <f>ATAN(E9)*180/PI()</f>
        <v>43.47197991850525</v>
      </c>
      <c r="F10" s="1">
        <f>(ABS(E10)-INT(ABS(E10)))*60</f>
        <v>28.31879511031488</v>
      </c>
      <c r="G10" s="4">
        <f>(ABS(F10)-INT(ABS(F10)))*60</f>
        <v>19.12770661889283</v>
      </c>
      <c r="I10" s="5"/>
      <c r="J10" s="3"/>
    </row>
    <row r="11" spans="1:8" ht="15.75">
      <c r="A11" s="17"/>
      <c r="B11" s="15"/>
      <c r="D11" s="49" t="s">
        <v>36</v>
      </c>
      <c r="E11" s="18">
        <f>ATAN(($E$5/E8)/$B$6)</f>
        <v>0.7587291819387728</v>
      </c>
      <c r="H11" s="2"/>
    </row>
    <row r="12" spans="1:5" ht="15.75">
      <c r="A12" s="17"/>
      <c r="B12" s="51" t="s">
        <v>41</v>
      </c>
      <c r="D12" s="49" t="s">
        <v>37</v>
      </c>
      <c r="E12" s="21">
        <f>$B$3/SQRT(1-$B$5*(SIN(E11))^2)</f>
        <v>6388266.415877881</v>
      </c>
    </row>
    <row r="13" spans="1:5" ht="15.75">
      <c r="A13" s="17"/>
      <c r="B13" s="15" t="s">
        <v>46</v>
      </c>
      <c r="D13" s="49" t="s">
        <v>38</v>
      </c>
      <c r="E13" s="1">
        <f>$E$8/COS(E11)-E12</f>
        <v>99.59005158301443</v>
      </c>
    </row>
    <row r="14" spans="1:4" ht="12.75">
      <c r="A14" s="17"/>
      <c r="B14" s="15"/>
      <c r="D14" s="49"/>
    </row>
    <row r="15" spans="1:5" ht="15.75">
      <c r="A15" s="17"/>
      <c r="B15" s="15" t="s">
        <v>45</v>
      </c>
      <c r="D15" s="49" t="s">
        <v>48</v>
      </c>
      <c r="E15" s="4">
        <f>($E$5/E8)/(1-$B$5*E12/(E12+E13))</f>
        <v>0.9480354560601875</v>
      </c>
    </row>
    <row r="16" spans="1:8" ht="15.75">
      <c r="A16" s="17"/>
      <c r="B16" s="15"/>
      <c r="D16" s="49" t="s">
        <v>47</v>
      </c>
      <c r="E16" s="32">
        <f>ATAN(E15)*180/PI()</f>
        <v>43.471976912925996</v>
      </c>
      <c r="F16" s="1">
        <f>(ABS(E16)-INT(ABS(E16)))*60</f>
        <v>28.31861477555975</v>
      </c>
      <c r="G16" s="4">
        <f>(ABS(F16)-INT(ABS(F16)))*60</f>
        <v>19.116886533585102</v>
      </c>
      <c r="H16" s="28"/>
    </row>
    <row r="17" spans="1:8" ht="15.75">
      <c r="A17" s="17"/>
      <c r="B17" s="51" t="s">
        <v>42</v>
      </c>
      <c r="C17" s="1"/>
      <c r="D17" s="49" t="s">
        <v>40</v>
      </c>
      <c r="E17" s="21">
        <f>$B$3/SQRT(1-$B$5*(SIN(E16*PI()/180))^2)</f>
        <v>6388266.414754236</v>
      </c>
      <c r="H17" s="10"/>
    </row>
    <row r="18" spans="1:8" ht="15.75">
      <c r="A18" s="17"/>
      <c r="B18" s="15" t="s">
        <v>44</v>
      </c>
      <c r="C18" s="1"/>
      <c r="D18" s="49" t="s">
        <v>43</v>
      </c>
      <c r="E18" s="1">
        <f>$E$8/COS(E16*PI()/180)-E12</f>
        <v>99.27234959416091</v>
      </c>
      <c r="H18" s="10"/>
    </row>
    <row r="19" spans="1:8" ht="12.75">
      <c r="A19" s="17"/>
      <c r="B19" s="15"/>
      <c r="H19" s="10"/>
    </row>
    <row r="20" spans="2:8" ht="15.75">
      <c r="B20" s="15" t="s">
        <v>51</v>
      </c>
      <c r="C20" s="1"/>
      <c r="D20" s="49" t="s">
        <v>50</v>
      </c>
      <c r="E20" s="4">
        <f>($E$5/$E$8)/(1-$B$5*E17/(E17+E18))</f>
        <v>0.94803545637793</v>
      </c>
      <c r="H20" s="28"/>
    </row>
    <row r="21" spans="4:7" ht="15.75">
      <c r="D21" s="52" t="s">
        <v>59</v>
      </c>
      <c r="E21" s="53">
        <f>ATAN(E20)*180/PI()</f>
        <v>43.47197692251394</v>
      </c>
      <c r="F21" s="52">
        <f>(ABS(E21)-INT(ABS(E21)))*60</f>
        <v>28.318615350836325</v>
      </c>
      <c r="G21" s="54">
        <f>(ABS(F21)-INT(ABS(F21)))*60</f>
        <v>19.116921050179485</v>
      </c>
    </row>
    <row r="22" spans="2:5" ht="15.75">
      <c r="B22" s="51" t="s">
        <v>52</v>
      </c>
      <c r="C22" s="1"/>
      <c r="D22" s="49" t="s">
        <v>49</v>
      </c>
      <c r="E22" s="21">
        <f>$B$3/SQRT(1-$B$5*(SIN(E21*PI()/180))^2)</f>
        <v>6388266.414757821</v>
      </c>
    </row>
    <row r="23" spans="2:5" ht="15.75">
      <c r="B23" s="15" t="s">
        <v>53</v>
      </c>
      <c r="C23" s="1"/>
      <c r="D23" s="52" t="s">
        <v>60</v>
      </c>
      <c r="E23" s="52">
        <f>$E$8/COS(E21*PI()/180)-E17</f>
        <v>99.27448672428727</v>
      </c>
    </row>
    <row r="24" ht="12.75"/>
    <row r="25" spans="2:5" ht="15.75">
      <c r="B25" s="15" t="s">
        <v>56</v>
      </c>
      <c r="C25" s="1"/>
      <c r="D25" s="49" t="s">
        <v>54</v>
      </c>
      <c r="E25" s="4">
        <f>($E$5/$E$8)/(1-$B$5*E22/(E22+E23))</f>
        <v>0.9480354563757926</v>
      </c>
    </row>
    <row r="26" spans="4:7" ht="15.75">
      <c r="D26" s="52" t="s">
        <v>62</v>
      </c>
      <c r="E26" s="53">
        <f>ATAN(E25)*180/PI()</f>
        <v>43.47197692244944</v>
      </c>
      <c r="F26" s="52">
        <f>(ABS(E26)-INT(ABS(E26)))*60</f>
        <v>28.318615346966567</v>
      </c>
      <c r="G26" s="54">
        <f>(ABS(F26)-INT(ABS(F26)))*60</f>
        <v>19.116920817994014</v>
      </c>
    </row>
    <row r="27" spans="2:12" ht="15.75">
      <c r="B27" s="51" t="s">
        <v>57</v>
      </c>
      <c r="C27" s="1"/>
      <c r="D27" s="49" t="s">
        <v>55</v>
      </c>
      <c r="E27" s="21">
        <f>$B$3/SQRT(1-$B$5*(SIN(E26*PI()/180))^2)</f>
        <v>6388266.414757797</v>
      </c>
      <c r="G27" s="4"/>
      <c r="L27" s="4"/>
    </row>
    <row r="28" spans="2:12" ht="15.75">
      <c r="B28" s="15" t="s">
        <v>58</v>
      </c>
      <c r="C28" s="1"/>
      <c r="D28" s="52" t="s">
        <v>61</v>
      </c>
      <c r="E28" s="52">
        <f>$E$8/COS(E26*PI()/180)-E22</f>
        <v>99.27447632234544</v>
      </c>
      <c r="G28" s="4"/>
      <c r="J28" s="19"/>
      <c r="L28" s="4"/>
    </row>
    <row r="29" spans="7:12" ht="12.75">
      <c r="G29" s="4"/>
      <c r="L29" s="4"/>
    </row>
    <row r="30" spans="4:12" ht="12.75">
      <c r="D30" s="1" t="s">
        <v>7</v>
      </c>
      <c r="E30" s="4">
        <f>($E$5/$E$8)/(1-$B$5*E27/(E27+E28))</f>
        <v>0.948035456375803</v>
      </c>
      <c r="G30" s="4"/>
      <c r="J30" s="18"/>
      <c r="L30" s="4"/>
    </row>
    <row r="31" spans="4:12" ht="12.75">
      <c r="D31" s="1" t="s">
        <v>5</v>
      </c>
      <c r="E31" s="32">
        <f>ATAN(E30)*180/PI()</f>
        <v>43.471976922449755</v>
      </c>
      <c r="F31" s="1">
        <f>(ABS(E31)-INT(ABS(E31)))*60</f>
        <v>28.318615346985325</v>
      </c>
      <c r="G31" s="4">
        <f>(ABS(F31)-INT(ABS(F31)))*60</f>
        <v>19.116920819119514</v>
      </c>
      <c r="J31" s="23"/>
      <c r="K31" s="24"/>
      <c r="L31" s="25"/>
    </row>
    <row r="32" spans="4:12" ht="12.75">
      <c r="D32" s="41" t="s">
        <v>8</v>
      </c>
      <c r="E32" s="35">
        <f>INT(ABS(E31))</f>
        <v>43</v>
      </c>
      <c r="F32" s="36">
        <f>INT((E31-INT(E31))*60)</f>
        <v>28</v>
      </c>
      <c r="G32" s="37">
        <f>(F31-F32)*60</f>
        <v>19.116920819119514</v>
      </c>
      <c r="H32" s="34" t="str">
        <f>IF(E31&gt;0,"N","S")</f>
        <v>N</v>
      </c>
      <c r="J32" s="26"/>
      <c r="K32" s="27"/>
      <c r="L32" s="4"/>
    </row>
    <row r="33" spans="7:12" ht="12.75">
      <c r="G33" s="38"/>
      <c r="H33" s="33"/>
      <c r="J33" s="20"/>
      <c r="L33" s="4"/>
    </row>
    <row r="34" spans="4:12" ht="12.75">
      <c r="D34" s="1" t="s">
        <v>10</v>
      </c>
      <c r="E34" s="1">
        <f>$E$4/$E$3</f>
        <v>-0.06638602988090367</v>
      </c>
      <c r="G34" s="38"/>
      <c r="H34" s="33"/>
      <c r="L34" s="4"/>
    </row>
    <row r="35" spans="4:12" ht="12.75">
      <c r="D35" s="1" t="s">
        <v>9</v>
      </c>
      <c r="E35" s="1">
        <f>ATAN(E34)*180/PI()</f>
        <v>-3.7980663804879233</v>
      </c>
      <c r="G35" s="38"/>
      <c r="H35" s="33"/>
      <c r="J35" s="19"/>
      <c r="L35" s="4"/>
    </row>
    <row r="36" spans="4:12" ht="12.75">
      <c r="D36" s="1" t="s">
        <v>11</v>
      </c>
      <c r="E36" s="1">
        <f>ABS(E35)</f>
        <v>3.7980663804879233</v>
      </c>
      <c r="F36" s="1">
        <f>(ABS(E36)-INT(ABS(E36)))*60</f>
        <v>47.883982829275396</v>
      </c>
      <c r="G36" s="38"/>
      <c r="H36" s="33"/>
      <c r="L36" s="4"/>
    </row>
    <row r="37" spans="4:12" ht="12.75">
      <c r="D37" s="41" t="s">
        <v>15</v>
      </c>
      <c r="E37" s="35">
        <f>INT(ABS(E36))</f>
        <v>3</v>
      </c>
      <c r="F37" s="36">
        <f>INT((E36-INT(E36))*60)</f>
        <v>47</v>
      </c>
      <c r="G37" s="39">
        <f>(F36-F37)*60</f>
        <v>53.038969756523784</v>
      </c>
      <c r="H37" s="34" t="str">
        <f>IF(E35&lt;0,"W","E")</f>
        <v>W</v>
      </c>
      <c r="J37" s="18"/>
      <c r="L37" s="4"/>
    </row>
    <row r="38" spans="10:12" ht="12.75">
      <c r="J38" s="23"/>
      <c r="K38" s="24"/>
      <c r="L38" s="25"/>
    </row>
    <row r="39" spans="4:12" ht="12.75">
      <c r="D39" s="40" t="s">
        <v>16</v>
      </c>
      <c r="E39" s="42">
        <f>$E$8/COS(E26*PI()/180)-E22</f>
        <v>99.27447632234544</v>
      </c>
      <c r="J39" s="15"/>
      <c r="L39" s="4"/>
    </row>
    <row r="40" spans="10:12" ht="12.75">
      <c r="J40" s="20"/>
      <c r="L40" s="4"/>
    </row>
    <row r="41" ht="12.75">
      <c r="L41" s="4"/>
    </row>
    <row r="42" spans="10:12" ht="12.75">
      <c r="J42" s="19"/>
      <c r="L42" s="4"/>
    </row>
    <row r="43" ht="12.75">
      <c r="L43" s="4"/>
    </row>
    <row r="44" spans="10:12" ht="12.75">
      <c r="J44" s="18"/>
      <c r="L44" s="4"/>
    </row>
    <row r="45" spans="4:12" ht="12.75">
      <c r="D45" s="15"/>
      <c r="F45" s="1"/>
      <c r="J45" s="23"/>
      <c r="K45" s="24"/>
      <c r="L45" s="25"/>
    </row>
    <row r="46" spans="4:12" ht="12.75">
      <c r="D46" s="19"/>
      <c r="F46" s="21"/>
      <c r="J46" s="15"/>
      <c r="L46" s="4"/>
    </row>
    <row r="47" spans="4:12" ht="12.75">
      <c r="D47" s="21"/>
      <c r="F47" s="21"/>
      <c r="J47" s="20"/>
      <c r="L47" s="4"/>
    </row>
    <row r="48" spans="6:12" ht="12.75">
      <c r="F48" s="1"/>
      <c r="L48" s="4"/>
    </row>
    <row r="49" spans="4:12" ht="12.75">
      <c r="D49" s="4"/>
      <c r="F49" s="18"/>
      <c r="J49" s="19"/>
      <c r="L49" s="4"/>
    </row>
    <row r="50" spans="4:12" ht="12.75">
      <c r="D50" s="18"/>
      <c r="F50" s="1"/>
      <c r="L50" s="4"/>
    </row>
    <row r="51" spans="6:12" ht="12.75">
      <c r="F51" s="21"/>
      <c r="J51" s="18"/>
      <c r="L51" s="4"/>
    </row>
    <row r="52" spans="4:12" ht="12.75">
      <c r="D52" s="15"/>
      <c r="F52" s="15"/>
      <c r="J52" s="23"/>
      <c r="K52" s="24"/>
      <c r="L52" s="25"/>
    </row>
    <row r="53" spans="4:6" ht="12.75">
      <c r="D53" s="19"/>
      <c r="F53" s="19"/>
    </row>
    <row r="54" spans="4:6" ht="409.5">
      <c r="D54" s="21"/>
      <c r="F54" s="21"/>
    </row>
    <row r="56" ht="12.75">
      <c r="D56" s="4"/>
    </row>
    <row r="57" ht="409.5">
      <c r="D57" s="18"/>
    </row>
    <row r="59" ht="12.75">
      <c r="D59" s="15"/>
    </row>
    <row r="60" ht="12.75">
      <c r="D60" s="19"/>
    </row>
    <row r="61" ht="12.75">
      <c r="D61" s="21"/>
    </row>
  </sheetData>
  <sheetProtection/>
  <printOptions/>
  <pageMargins left="0.51" right="0.75" top="0.84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8.7109375" style="0" customWidth="1"/>
    <col min="2" max="2" width="14.57421875" style="1" customWidth="1"/>
    <col min="3" max="3" width="6.7109375" style="1" customWidth="1"/>
    <col min="4" max="4" width="12.7109375" style="1" customWidth="1"/>
    <col min="5" max="5" width="14.7109375" style="1" customWidth="1"/>
    <col min="6" max="6" width="13.57421875" style="4" bestFit="1" customWidth="1"/>
    <col min="7" max="7" width="12.28125" style="1" bestFit="1" customWidth="1"/>
    <col min="8" max="8" width="3.57421875" style="1" customWidth="1"/>
    <col min="9" max="9" width="12.421875" style="1" customWidth="1"/>
    <col min="10" max="10" width="12.28125" style="1" bestFit="1" customWidth="1"/>
    <col min="11" max="13" width="11.421875" style="1" customWidth="1"/>
  </cols>
  <sheetData>
    <row r="1" spans="2:13" s="12" customFormat="1" ht="20.25">
      <c r="B1" s="43" t="s">
        <v>30</v>
      </c>
      <c r="C1" s="13"/>
      <c r="D1" s="45"/>
      <c r="E1" s="13"/>
      <c r="F1" s="14"/>
      <c r="G1" s="13"/>
      <c r="H1" s="13"/>
      <c r="I1" s="13"/>
      <c r="J1" s="13"/>
      <c r="K1" s="13"/>
      <c r="L1" s="13"/>
      <c r="M1" s="13"/>
    </row>
    <row r="3" spans="1:9" ht="12.75">
      <c r="A3" t="s">
        <v>31</v>
      </c>
      <c r="B3" s="1" t="s">
        <v>32</v>
      </c>
      <c r="D3" s="46" t="s">
        <v>18</v>
      </c>
      <c r="E3" s="7">
        <v>43</v>
      </c>
      <c r="F3" s="7">
        <v>28</v>
      </c>
      <c r="G3" s="6">
        <v>19.11692</v>
      </c>
      <c r="H3" s="11" t="s">
        <v>4</v>
      </c>
      <c r="I3" s="8">
        <f>IF(H3="N",(((G3/60)+F3)/60+E3),-((((G3/60)+F3)/60)+E3))</f>
        <v>43.471976922222225</v>
      </c>
    </row>
    <row r="4" spans="4:9" ht="12.75">
      <c r="D4" s="46" t="s">
        <v>19</v>
      </c>
      <c r="E4" s="7">
        <v>3</v>
      </c>
      <c r="F4" s="7">
        <v>47</v>
      </c>
      <c r="G4" s="6">
        <v>53.03897</v>
      </c>
      <c r="H4" s="11" t="s">
        <v>20</v>
      </c>
      <c r="I4" s="8">
        <f>IF(H4="E",(((G4/60)+F4)/60+E4),-(((G4/60)+F4)/60+E4))</f>
        <v>-3.7980663805555555</v>
      </c>
    </row>
    <row r="5" spans="4:9" ht="12.75">
      <c r="D5" s="46" t="s">
        <v>25</v>
      </c>
      <c r="E5" s="7"/>
      <c r="F5" s="7"/>
      <c r="G5" s="6">
        <v>59.274</v>
      </c>
      <c r="H5" s="11" t="s">
        <v>23</v>
      </c>
      <c r="I5" s="8"/>
    </row>
    <row r="6" spans="4:9" ht="12.75">
      <c r="D6" s="46" t="s">
        <v>24</v>
      </c>
      <c r="E6" s="47"/>
      <c r="F6" s="48"/>
      <c r="G6" s="6">
        <v>40</v>
      </c>
      <c r="H6" s="11" t="s">
        <v>23</v>
      </c>
      <c r="I6" s="8"/>
    </row>
    <row r="7" spans="1:9" ht="12.75">
      <c r="A7" s="16" t="s">
        <v>0</v>
      </c>
      <c r="B7" s="50">
        <f>IF(B3="WGS84",6378137,IF(B3="ED50",6378388,0))</f>
        <v>6378137</v>
      </c>
      <c r="I7" s="8"/>
    </row>
    <row r="8" spans="1:10" ht="12.75">
      <c r="A8" s="16" t="s">
        <v>3</v>
      </c>
      <c r="B8" s="9">
        <f>IF(B3="WGS84",1/298.257223563,IF(B3="ED50",1/297,0))</f>
        <v>0.0033528106647474805</v>
      </c>
      <c r="D8" s="1" t="s">
        <v>26</v>
      </c>
      <c r="E8" s="1">
        <f>G5+G6</f>
        <v>99.274</v>
      </c>
      <c r="I8" s="5"/>
      <c r="J8" s="3"/>
    </row>
    <row r="9" spans="1:8" ht="12.75">
      <c r="A9" s="17" t="s">
        <v>1</v>
      </c>
      <c r="B9" s="15">
        <f>B8*(2-B8)</f>
        <v>0.0066943799901413165</v>
      </c>
      <c r="H9" s="2"/>
    </row>
    <row r="10" spans="1:5" ht="12.75">
      <c r="A10" s="17" t="s">
        <v>2</v>
      </c>
      <c r="B10" s="15">
        <f>1-B9</f>
        <v>0.9933056200098587</v>
      </c>
      <c r="D10" s="41" t="s">
        <v>27</v>
      </c>
      <c r="E10" s="42">
        <f>(B12+E8)*COS(I3*PI()/180)*COS(I4*PI()/180)</f>
        <v>4625924.703272037</v>
      </c>
    </row>
    <row r="11" spans="1:5" ht="12.75">
      <c r="A11" s="17" t="s">
        <v>21</v>
      </c>
      <c r="B11" s="15">
        <f>SQRT(1-B9*POWER(SIN(I3*PI()/180),2))</f>
        <v>0.9984143718968401</v>
      </c>
      <c r="D11" s="41" t="s">
        <v>28</v>
      </c>
      <c r="E11" s="42">
        <f>(B12+E8)*COS(I3*PI()/180)*SIN(I4*PI()/180)</f>
        <v>-307096.7755837124</v>
      </c>
    </row>
    <row r="12" spans="1:7" ht="12.75">
      <c r="A12" s="17" t="s">
        <v>22</v>
      </c>
      <c r="B12" s="15">
        <f>B7/B11</f>
        <v>6388266.414757712</v>
      </c>
      <c r="D12" s="41" t="s">
        <v>29</v>
      </c>
      <c r="E12" s="42">
        <f>(B12*B10+E8)*SIN(I3*PI()/180)</f>
        <v>4365771.142153906</v>
      </c>
      <c r="G12" s="4"/>
    </row>
    <row r="13" spans="1:6" ht="12.75">
      <c r="A13" s="17"/>
      <c r="B13" s="15"/>
      <c r="D13" s="49"/>
      <c r="E13" s="49"/>
      <c r="F13" s="1"/>
    </row>
    <row r="14" spans="1:8" ht="12.75">
      <c r="A14" s="17"/>
      <c r="B14" s="15"/>
      <c r="F14" s="24"/>
      <c r="G14" s="25"/>
      <c r="H14" s="28"/>
    </row>
    <row r="15" spans="1:8" ht="12.75">
      <c r="A15" s="17"/>
      <c r="B15" s="15"/>
      <c r="H15" s="10"/>
    </row>
    <row r="16" spans="1:8" ht="12.75">
      <c r="A16" s="17"/>
      <c r="B16" s="15"/>
      <c r="F16" s="1"/>
      <c r="H16" s="10"/>
    </row>
    <row r="17" spans="1:8" ht="12.75">
      <c r="A17" s="17"/>
      <c r="B17" s="15"/>
      <c r="H17" s="10"/>
    </row>
    <row r="18" spans="6:8" ht="12.75">
      <c r="F18" s="24"/>
      <c r="G18" s="25"/>
      <c r="H18" s="28"/>
    </row>
    <row r="22" spans="6:7" ht="12.75">
      <c r="F22" s="24"/>
      <c r="G22" s="25"/>
    </row>
    <row r="42" ht="12.75">
      <c r="E42" s="2"/>
    </row>
    <row r="60" ht="12.75">
      <c r="A60" t="s">
        <v>32</v>
      </c>
    </row>
    <row r="61" ht="12.75">
      <c r="A61" t="s">
        <v>33</v>
      </c>
    </row>
  </sheetData>
  <sheetProtection/>
  <dataValidations count="1">
    <dataValidation type="list" allowBlank="1" showInputMessage="1" showErrorMessage="1" sqref="B3">
      <formula1>A60:A61</formula1>
    </dataValidation>
  </dataValidations>
  <printOptions/>
  <pageMargins left="0.51" right="0.75" top="0.84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Seccion</dc:creator>
  <cp:keywords/>
  <dc:description/>
  <cp:lastModifiedBy>Casa</cp:lastModifiedBy>
  <cp:lastPrinted>2002-05-07T11:41:05Z</cp:lastPrinted>
  <dcterms:created xsi:type="dcterms:W3CDTF">2000-11-13T11:04:31Z</dcterms:created>
  <dcterms:modified xsi:type="dcterms:W3CDTF">2013-11-15T19:44:05Z</dcterms:modified>
  <cp:category/>
  <cp:version/>
  <cp:contentType/>
  <cp:contentStatus/>
</cp:coreProperties>
</file>